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916d622fede8fc/Fjernvarme i Egebjerg/Driftsbudget/2021/"/>
    </mc:Choice>
  </mc:AlternateContent>
  <xr:revisionPtr revIDLastSave="367" documentId="8_{49899C39-6E88-4EC2-A3FA-2CC3EE1C5671}" xr6:coauthVersionLast="45" xr6:coauthVersionMax="45" xr10:uidLastSave="{03220E61-85D1-4980-A9BB-EAB4C740F9ED}"/>
  <bookViews>
    <workbookView xWindow="-110" yWindow="-110" windowWidth="19420" windowHeight="10420" xr2:uid="{37A2A126-51FD-45D4-99B9-D7A10BF8ECA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N24" i="1"/>
  <c r="M24" i="1"/>
  <c r="L24" i="1"/>
  <c r="K24" i="1"/>
  <c r="J24" i="1"/>
  <c r="I24" i="1"/>
  <c r="H24" i="1"/>
  <c r="G24" i="1"/>
  <c r="F24" i="1"/>
  <c r="E24" i="1"/>
  <c r="D24" i="1"/>
  <c r="C24" i="1"/>
  <c r="N17" i="1"/>
  <c r="N16" i="1"/>
  <c r="N15" i="1"/>
  <c r="N14" i="1"/>
  <c r="N13" i="1"/>
  <c r="N12" i="1"/>
  <c r="N11" i="1"/>
  <c r="N10" i="1"/>
  <c r="M17" i="1"/>
  <c r="M16" i="1"/>
  <c r="M15" i="1"/>
  <c r="M14" i="1"/>
  <c r="M13" i="1"/>
  <c r="M12" i="1"/>
  <c r="M11" i="1"/>
  <c r="M10" i="1"/>
  <c r="L17" i="1"/>
  <c r="L16" i="1"/>
  <c r="L15" i="1"/>
  <c r="L14" i="1"/>
  <c r="L13" i="1"/>
  <c r="L12" i="1"/>
  <c r="L11" i="1"/>
  <c r="L10" i="1"/>
  <c r="K17" i="1"/>
  <c r="K16" i="1"/>
  <c r="K15" i="1"/>
  <c r="K14" i="1"/>
  <c r="K13" i="1"/>
  <c r="K12" i="1"/>
  <c r="K11" i="1"/>
  <c r="K10" i="1"/>
  <c r="J17" i="1"/>
  <c r="J16" i="1"/>
  <c r="J15" i="1"/>
  <c r="J14" i="1"/>
  <c r="J13" i="1"/>
  <c r="J12" i="1"/>
  <c r="J11" i="1"/>
  <c r="J10" i="1"/>
  <c r="I17" i="1"/>
  <c r="I16" i="1"/>
  <c r="I15" i="1"/>
  <c r="I14" i="1"/>
  <c r="I13" i="1"/>
  <c r="I12" i="1"/>
  <c r="I11" i="1"/>
  <c r="I10" i="1"/>
  <c r="H17" i="1"/>
  <c r="H16" i="1"/>
  <c r="H15" i="1"/>
  <c r="H14" i="1"/>
  <c r="H13" i="1"/>
  <c r="H12" i="1"/>
  <c r="H11" i="1"/>
  <c r="H10" i="1"/>
  <c r="G17" i="1"/>
  <c r="G16" i="1"/>
  <c r="G15" i="1"/>
  <c r="G14" i="1"/>
  <c r="G13" i="1"/>
  <c r="G12" i="1"/>
  <c r="G11" i="1"/>
  <c r="G10" i="1"/>
  <c r="F17" i="1"/>
  <c r="F16" i="1"/>
  <c r="F15" i="1"/>
  <c r="F14" i="1"/>
  <c r="F13" i="1"/>
  <c r="F12" i="1"/>
  <c r="F11" i="1"/>
  <c r="F10" i="1"/>
  <c r="E17" i="1"/>
  <c r="E16" i="1"/>
  <c r="E15" i="1"/>
  <c r="E14" i="1"/>
  <c r="E13" i="1"/>
  <c r="E12" i="1"/>
  <c r="E11" i="1"/>
  <c r="E10" i="1"/>
  <c r="D17" i="1"/>
  <c r="D16" i="1"/>
  <c r="D15" i="1"/>
  <c r="D14" i="1"/>
  <c r="D13" i="1"/>
  <c r="D12" i="1"/>
  <c r="D11" i="1"/>
  <c r="D10" i="1"/>
  <c r="C17" i="1"/>
  <c r="C16" i="1"/>
  <c r="C15" i="1"/>
  <c r="C14" i="1"/>
  <c r="C13" i="1"/>
  <c r="C12" i="1"/>
  <c r="C11" i="1"/>
  <c r="C10" i="1"/>
  <c r="E31" i="1" l="1"/>
  <c r="H31" i="1"/>
  <c r="K31" i="1"/>
  <c r="N31" i="1"/>
  <c r="O31" i="1"/>
  <c r="O29" i="1"/>
  <c r="N29" i="1"/>
  <c r="K29" i="1"/>
  <c r="H29" i="1"/>
  <c r="E29" i="1"/>
  <c r="N27" i="1"/>
  <c r="K27" i="1"/>
  <c r="H27" i="1"/>
  <c r="E27" i="1"/>
  <c r="O27" i="1" s="1"/>
  <c r="H26" i="1"/>
  <c r="B24" i="1" l="1"/>
  <c r="N35" i="1" l="1"/>
  <c r="N30" i="1"/>
  <c r="K30" i="1"/>
  <c r="H30" i="1"/>
  <c r="E30" i="1"/>
  <c r="N28" i="1"/>
  <c r="K28" i="1"/>
  <c r="H28" i="1"/>
  <c r="E28" i="1"/>
  <c r="E26" i="1"/>
  <c r="O30" i="1" l="1"/>
  <c r="O28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21" i="1"/>
  <c r="D21" i="1"/>
  <c r="E21" i="1"/>
  <c r="F21" i="1"/>
  <c r="G21" i="1"/>
  <c r="H21" i="1"/>
  <c r="I21" i="1"/>
  <c r="J21" i="1"/>
  <c r="K21" i="1"/>
  <c r="L21" i="1"/>
  <c r="M21" i="1"/>
  <c r="N21" i="1"/>
  <c r="N22" i="1"/>
  <c r="O22" i="1" s="1"/>
  <c r="C23" i="1"/>
  <c r="F23" i="1"/>
  <c r="I23" i="1"/>
  <c r="L23" i="1"/>
  <c r="C25" i="1"/>
  <c r="O25" i="1" s="1"/>
  <c r="K26" i="1"/>
  <c r="N26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H33" i="1"/>
  <c r="F34" i="1"/>
  <c r="I34" i="1"/>
  <c r="L34" i="1"/>
  <c r="H35" i="1"/>
  <c r="O35" i="1" s="1"/>
  <c r="N36" i="1"/>
  <c r="O36" i="1" s="1"/>
  <c r="N37" i="1"/>
  <c r="O37" i="1" s="1"/>
  <c r="O33" i="1" l="1"/>
  <c r="O16" i="1"/>
  <c r="O23" i="1"/>
  <c r="N38" i="1"/>
  <c r="O12" i="1"/>
  <c r="O8" i="1"/>
  <c r="C19" i="1"/>
  <c r="O10" i="1"/>
  <c r="O21" i="1"/>
  <c r="O34" i="1"/>
  <c r="O17" i="1"/>
  <c r="O6" i="1"/>
  <c r="O11" i="1"/>
  <c r="O18" i="1"/>
  <c r="O32" i="1"/>
  <c r="O15" i="1"/>
  <c r="O14" i="1"/>
  <c r="O13" i="1"/>
  <c r="O7" i="1"/>
  <c r="O26" i="1"/>
  <c r="C38" i="1"/>
  <c r="E38" i="1"/>
  <c r="L38" i="1"/>
  <c r="H38" i="1"/>
  <c r="D38" i="1"/>
  <c r="J38" i="1"/>
  <c r="F38" i="1"/>
  <c r="M38" i="1"/>
  <c r="K38" i="1"/>
  <c r="G38" i="1"/>
  <c r="C39" i="1" l="1"/>
  <c r="O19" i="1"/>
  <c r="D19" i="1"/>
  <c r="D39" i="1" s="1"/>
  <c r="E19" i="1" s="1"/>
  <c r="E39" i="1" s="1"/>
  <c r="F19" i="1" s="1"/>
  <c r="F39" i="1" s="1"/>
  <c r="G19" i="1" s="1"/>
  <c r="G39" i="1" s="1"/>
  <c r="H19" i="1" s="1"/>
  <c r="H39" i="1" s="1"/>
  <c r="I19" i="1" s="1"/>
  <c r="O24" i="1"/>
  <c r="O38" i="1" s="1"/>
  <c r="I38" i="1"/>
  <c r="O39" i="1" l="1"/>
  <c r="I39" i="1"/>
  <c r="J19" i="1" s="1"/>
  <c r="J39" i="1" s="1"/>
  <c r="K19" i="1" s="1"/>
  <c r="K39" i="1" s="1"/>
  <c r="L19" i="1" s="1"/>
  <c r="L39" i="1" s="1"/>
  <c r="M19" i="1" s="1"/>
  <c r="M39" i="1" s="1"/>
  <c r="N19" i="1" s="1"/>
  <c r="N39" i="1" s="1"/>
</calcChain>
</file>

<file path=xl/sharedStrings.xml><?xml version="1.0" encoding="utf-8"?>
<sst xmlns="http://schemas.openxmlformats.org/spreadsheetml/2006/main" count="52" uniqueCount="52">
  <si>
    <t>jan</t>
  </si>
  <si>
    <t>feb</t>
  </si>
  <si>
    <t>marts</t>
  </si>
  <si>
    <t>april</t>
  </si>
  <si>
    <t>maj</t>
  </si>
  <si>
    <t>juni</t>
  </si>
  <si>
    <t>juli</t>
  </si>
  <si>
    <t>aug</t>
  </si>
  <si>
    <t>sept</t>
  </si>
  <si>
    <t>okt</t>
  </si>
  <si>
    <t>nov</t>
  </si>
  <si>
    <t>dec</t>
  </si>
  <si>
    <t xml:space="preserve">Indtægter: </t>
  </si>
  <si>
    <t xml:space="preserve">Årligt abonnement/antal tilmeldte </t>
  </si>
  <si>
    <t>Antal BBR m2 bolig og institution, 11379</t>
  </si>
  <si>
    <t>Antal BBR m2 erhverv 2477</t>
  </si>
  <si>
    <t>Salg af varme MWh:</t>
  </si>
  <si>
    <t>Iværksætterhus 70 MWh</t>
  </si>
  <si>
    <t>Solutio 162 MWh</t>
  </si>
  <si>
    <t>Henrik Rasmussen 79 MWh</t>
  </si>
  <si>
    <t>9 huse Boligvej 9 15 MWh/hus(135)</t>
  </si>
  <si>
    <t>15 huse Vesterleddet 10 MWh/hus(150)</t>
  </si>
  <si>
    <t>Skolen 200 Mwh/år</t>
  </si>
  <si>
    <t>Forsamlingshus 81 Mwh/år</t>
  </si>
  <si>
    <t>I alt indtægter</t>
  </si>
  <si>
    <t>Udgifter:</t>
  </si>
  <si>
    <t>Administration Nyk Sj.</t>
  </si>
  <si>
    <t>Administrationssystem</t>
  </si>
  <si>
    <t>Vand og strøm</t>
  </si>
  <si>
    <t xml:space="preserve">Daglig drift og serviceaftaler </t>
  </si>
  <si>
    <t>Forsikringer (anlæg og bestyrelse)</t>
  </si>
  <si>
    <t>Bestyrelsesudgifter</t>
  </si>
  <si>
    <t>Medlemskab Dansk Fjernvarme</t>
  </si>
  <si>
    <t>Regnskab og revision</t>
  </si>
  <si>
    <t>I alt udgifter</t>
  </si>
  <si>
    <t>Resultat:</t>
  </si>
  <si>
    <t>39 alm. Huse 15 MWh/hus (585)</t>
  </si>
  <si>
    <t>Ledningsnet lån 2,  3,05 mill</t>
  </si>
  <si>
    <t>Grundskyld jordstykke</t>
  </si>
  <si>
    <t>TDC boks</t>
  </si>
  <si>
    <t>Driftsbudget 2021</t>
  </si>
  <si>
    <t>Lån 1 rente</t>
  </si>
  <si>
    <t>Ledningsnet lån 1 ,  7,5 mill afdrag</t>
  </si>
  <si>
    <t>Lån 2 rente</t>
  </si>
  <si>
    <t>Lån 3 rente</t>
  </si>
  <si>
    <t>Lån 3  0,95 mill</t>
  </si>
  <si>
    <t>Garantiprovision 0,65% af kr. 10,55 mio.</t>
  </si>
  <si>
    <t>fra aug 2018 og frem til okt. 2020 er den 0,88</t>
  </si>
  <si>
    <t>Indeksregulering</t>
  </si>
  <si>
    <t>Flis 2271 m3 a 130 kr incl tab o Vgrad</t>
  </si>
  <si>
    <t xml:space="preserve">Brændselsudgiften er incl. ledningstab på 18 %, og en kedelvirkningsgrad på 92 % </t>
  </si>
  <si>
    <t>Vi har valgt at fastholde priserne fra 2019 og så arbejde på at få flere kunder. Så reelt er der tale om et prisfald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</si>
</sst>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3" xfId="0" applyFont="1" applyBorder="1"/>
    <xf numFmtId="1" fontId="5" fillId="0" borderId="2" xfId="0" applyNumberFormat="1" applyFont="1" applyBorder="1"/>
    <xf numFmtId="1" fontId="5" fillId="0" borderId="1" xfId="0" applyNumberFormat="1" applyFont="1" applyBorder="1"/>
    <xf numFmtId="1" fontId="5" fillId="0" borderId="3" xfId="0" applyNumberFormat="1" applyFont="1" applyBorder="1"/>
    <xf numFmtId="1" fontId="5" fillId="0" borderId="4" xfId="0" applyNumberFormat="1" applyFont="1" applyBorder="1"/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0403-61D8-4E6F-9E23-2C9166D6F6BC}">
  <dimension ref="A1:S51"/>
  <sheetViews>
    <sheetView tabSelected="1" zoomScale="99" zoomScaleNormal="99" workbookViewId="0">
      <selection activeCell="A41" sqref="A41"/>
    </sheetView>
  </sheetViews>
  <sheetFormatPr defaultRowHeight="14.5" x14ac:dyDescent="0.35"/>
  <cols>
    <col min="1" max="1" width="35.08984375" customWidth="1"/>
    <col min="2" max="2" width="8.54296875" customWidth="1"/>
    <col min="3" max="14" width="9.453125" bestFit="1" customWidth="1"/>
    <col min="15" max="15" width="8.1796875" customWidth="1"/>
    <col min="16" max="16" width="3.90625" customWidth="1"/>
  </cols>
  <sheetData>
    <row r="1" spans="1:19" ht="15.5" x14ac:dyDescent="0.3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S1" s="2"/>
    </row>
    <row r="2" spans="1:19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x14ac:dyDescent="0.35">
      <c r="A3" s="4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>
        <v>2021</v>
      </c>
      <c r="P3" s="18"/>
    </row>
    <row r="4" spans="1:19" x14ac:dyDescent="0.35">
      <c r="A4" s="6" t="s">
        <v>12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9"/>
    </row>
    <row r="5" spans="1:19" x14ac:dyDescent="0.35">
      <c r="A5" s="8"/>
      <c r="B5" s="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0"/>
    </row>
    <row r="6" spans="1:19" x14ac:dyDescent="0.35">
      <c r="A6" s="8" t="s">
        <v>13</v>
      </c>
      <c r="B6" s="7">
        <v>72000</v>
      </c>
      <c r="C6" s="22">
        <f>B6/12</f>
        <v>6000</v>
      </c>
      <c r="D6" s="22">
        <f>B6/12</f>
        <v>6000</v>
      </c>
      <c r="E6" s="22">
        <f>B6/12</f>
        <v>6000</v>
      </c>
      <c r="F6" s="22">
        <f>B6/12</f>
        <v>6000</v>
      </c>
      <c r="G6" s="22">
        <f>B6/12</f>
        <v>6000</v>
      </c>
      <c r="H6" s="22">
        <f>B6/12</f>
        <v>6000</v>
      </c>
      <c r="I6" s="22">
        <f>B6/12</f>
        <v>6000</v>
      </c>
      <c r="J6" s="22">
        <f>B6/12</f>
        <v>6000</v>
      </c>
      <c r="K6" s="22">
        <f>B6/12</f>
        <v>6000</v>
      </c>
      <c r="L6" s="22">
        <f>B6/12</f>
        <v>6000</v>
      </c>
      <c r="M6" s="22">
        <f>B6/12</f>
        <v>6000</v>
      </c>
      <c r="N6" s="22">
        <f>B6/12</f>
        <v>6000</v>
      </c>
      <c r="O6" s="22">
        <f>SUM(C6:N6)</f>
        <v>72000</v>
      </c>
      <c r="P6" s="20"/>
    </row>
    <row r="7" spans="1:19" x14ac:dyDescent="0.35">
      <c r="A7" s="8" t="s">
        <v>14</v>
      </c>
      <c r="B7" s="7">
        <v>10775</v>
      </c>
      <c r="C7" s="22">
        <f>B7*24/12</f>
        <v>21550</v>
      </c>
      <c r="D7" s="22">
        <f>B7*24/12</f>
        <v>21550</v>
      </c>
      <c r="E7" s="22">
        <f>B7*24/12</f>
        <v>21550</v>
      </c>
      <c r="F7" s="22">
        <f>B7*24/12</f>
        <v>21550</v>
      </c>
      <c r="G7" s="22">
        <f>B7*24/12</f>
        <v>21550</v>
      </c>
      <c r="H7" s="22">
        <f>B7*24/12</f>
        <v>21550</v>
      </c>
      <c r="I7" s="22">
        <f>B7*24/12</f>
        <v>21550</v>
      </c>
      <c r="J7" s="22">
        <f>B7*24/12</f>
        <v>21550</v>
      </c>
      <c r="K7" s="22">
        <f>B7*24/12</f>
        <v>21550</v>
      </c>
      <c r="L7" s="22">
        <f>B7*24/12</f>
        <v>21550</v>
      </c>
      <c r="M7" s="22">
        <f>B7*24/12</f>
        <v>21550</v>
      </c>
      <c r="N7" s="22">
        <f>B7*24/12</f>
        <v>21550</v>
      </c>
      <c r="O7" s="22">
        <f>SUM(C7:N7)</f>
        <v>258600</v>
      </c>
      <c r="P7" s="20"/>
    </row>
    <row r="8" spans="1:19" x14ac:dyDescent="0.35">
      <c r="A8" s="8" t="s">
        <v>15</v>
      </c>
      <c r="B8" s="8">
        <v>2477</v>
      </c>
      <c r="C8" s="22">
        <f>B8*16/12</f>
        <v>3302.6666666666665</v>
      </c>
      <c r="D8" s="22">
        <f>B8*16/12</f>
        <v>3302.6666666666665</v>
      </c>
      <c r="E8" s="22">
        <f>B8*16/12</f>
        <v>3302.6666666666665</v>
      </c>
      <c r="F8" s="22">
        <f>B8*16/12</f>
        <v>3302.6666666666665</v>
      </c>
      <c r="G8" s="22">
        <f>B8*16/12</f>
        <v>3302.6666666666665</v>
      </c>
      <c r="H8" s="22">
        <f>B8*16/12</f>
        <v>3302.6666666666665</v>
      </c>
      <c r="I8" s="22">
        <f>B8*16/12</f>
        <v>3302.6666666666665</v>
      </c>
      <c r="J8" s="22">
        <f>B8*16/12</f>
        <v>3302.6666666666665</v>
      </c>
      <c r="K8" s="22">
        <f>B8*16/12</f>
        <v>3302.6666666666665</v>
      </c>
      <c r="L8" s="22">
        <f>B8*16/12</f>
        <v>3302.6666666666665</v>
      </c>
      <c r="M8" s="22">
        <f>B8*16/12</f>
        <v>3302.6666666666665</v>
      </c>
      <c r="N8" s="22">
        <f>B8*16/12</f>
        <v>3302.6666666666665</v>
      </c>
      <c r="O8" s="22">
        <f>SUM(C8:N8)</f>
        <v>39632</v>
      </c>
      <c r="P8" s="20"/>
    </row>
    <row r="9" spans="1:19" x14ac:dyDescent="0.35">
      <c r="A9" s="10" t="s">
        <v>16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0"/>
    </row>
    <row r="10" spans="1:19" x14ac:dyDescent="0.35">
      <c r="A10" s="8" t="s">
        <v>17</v>
      </c>
      <c r="B10" s="8">
        <v>55</v>
      </c>
      <c r="C10" s="22">
        <f>B10*514/100*15</f>
        <v>4240.5</v>
      </c>
      <c r="D10" s="22">
        <f>B10*514/100*13</f>
        <v>3675.1</v>
      </c>
      <c r="E10" s="22">
        <f>B10*514/100*13</f>
        <v>3675.1</v>
      </c>
      <c r="F10" s="22">
        <f>B10*514/100*10</f>
        <v>2827</v>
      </c>
      <c r="G10" s="22">
        <f>B10*514/100*4</f>
        <v>1130.8</v>
      </c>
      <c r="H10" s="22">
        <f>B10*514/100*3</f>
        <v>848.09999999999991</v>
      </c>
      <c r="I10" s="22">
        <f>B10*514/100*2.5</f>
        <v>706.75</v>
      </c>
      <c r="J10" s="22">
        <f>B10*514/100*2.5</f>
        <v>706.75</v>
      </c>
      <c r="K10" s="22">
        <f>B10*514/100*4</f>
        <v>1130.8</v>
      </c>
      <c r="L10" s="22">
        <f>B10*514/100*9</f>
        <v>2544.2999999999997</v>
      </c>
      <c r="M10" s="22">
        <f>B10*514/100*11</f>
        <v>3109.7</v>
      </c>
      <c r="N10" s="22">
        <f>B10*514/100*13</f>
        <v>3675.1</v>
      </c>
      <c r="O10" s="22">
        <f t="shared" ref="O10:O18" si="0">SUM(C10:N10)</f>
        <v>28269.999999999996</v>
      </c>
      <c r="P10" s="20"/>
    </row>
    <row r="11" spans="1:19" x14ac:dyDescent="0.35">
      <c r="A11" s="8" t="s">
        <v>18</v>
      </c>
      <c r="B11" s="8">
        <v>165</v>
      </c>
      <c r="C11" s="22">
        <f>B11*514/100*15</f>
        <v>12721.5</v>
      </c>
      <c r="D11" s="22">
        <f>B11*514/100*13</f>
        <v>11025.300000000001</v>
      </c>
      <c r="E11" s="22">
        <f>B11*514/100*13</f>
        <v>11025.300000000001</v>
      </c>
      <c r="F11" s="22">
        <f>B11*514/100*10</f>
        <v>8481</v>
      </c>
      <c r="G11" s="22">
        <f>B11*514/100*4</f>
        <v>3392.4</v>
      </c>
      <c r="H11" s="22">
        <f>B11*514/100*3</f>
        <v>2544.3000000000002</v>
      </c>
      <c r="I11" s="22">
        <f>B11*514/100*2.5</f>
        <v>2120.25</v>
      </c>
      <c r="J11" s="22">
        <f>B11*514/100*2.5</f>
        <v>2120.25</v>
      </c>
      <c r="K11" s="22">
        <f>B11*514/100*4</f>
        <v>3392.4</v>
      </c>
      <c r="L11" s="22">
        <f>B11*514/100*9</f>
        <v>7632.9000000000005</v>
      </c>
      <c r="M11" s="22">
        <f>B11*514/100*11</f>
        <v>9329.1</v>
      </c>
      <c r="N11" s="22">
        <f>B11*514/100*13</f>
        <v>11025.300000000001</v>
      </c>
      <c r="O11" s="22">
        <f t="shared" si="0"/>
        <v>84810.000000000015</v>
      </c>
      <c r="P11" s="20"/>
    </row>
    <row r="12" spans="1:19" x14ac:dyDescent="0.35">
      <c r="A12" s="8" t="s">
        <v>19</v>
      </c>
      <c r="B12" s="8">
        <v>85</v>
      </c>
      <c r="C12" s="22">
        <f>B12*514/100*15</f>
        <v>6553.5</v>
      </c>
      <c r="D12" s="22">
        <f>B12*514/100*13</f>
        <v>5679.7</v>
      </c>
      <c r="E12" s="22">
        <f>B12*514/100*13</f>
        <v>5679.7</v>
      </c>
      <c r="F12" s="22">
        <f>B12*514/100*10</f>
        <v>4369</v>
      </c>
      <c r="G12" s="22">
        <f>B12*514/100*4</f>
        <v>1747.6</v>
      </c>
      <c r="H12" s="22">
        <f>B12*514/100*3</f>
        <v>1310.6999999999998</v>
      </c>
      <c r="I12" s="22">
        <f>B12*514/100*2.5</f>
        <v>1092.25</v>
      </c>
      <c r="J12" s="22">
        <f>B12*514/100*2.5</f>
        <v>1092.25</v>
      </c>
      <c r="K12" s="22">
        <f>B12*514/100*4</f>
        <v>1747.6</v>
      </c>
      <c r="L12" s="22">
        <f>B12*514/100*9</f>
        <v>3932.1</v>
      </c>
      <c r="M12" s="22">
        <f>B12*514/100*11</f>
        <v>4805.8999999999996</v>
      </c>
      <c r="N12" s="22">
        <f>B12*514/100*13</f>
        <v>5679.7</v>
      </c>
      <c r="O12" s="22">
        <f t="shared" si="0"/>
        <v>43690</v>
      </c>
      <c r="P12" s="20"/>
    </row>
    <row r="13" spans="1:19" x14ac:dyDescent="0.35">
      <c r="A13" s="8" t="s">
        <v>36</v>
      </c>
      <c r="B13" s="8">
        <v>546</v>
      </c>
      <c r="C13" s="22">
        <f>B13*514/100*15</f>
        <v>42096.6</v>
      </c>
      <c r="D13" s="22">
        <f>B13*514/100*13</f>
        <v>36483.72</v>
      </c>
      <c r="E13" s="22">
        <f>B13*514/100*13</f>
        <v>36483.72</v>
      </c>
      <c r="F13" s="22">
        <f>B13*514/100*10</f>
        <v>28064.400000000001</v>
      </c>
      <c r="G13" s="22">
        <f>B13*514/100*4</f>
        <v>11225.76</v>
      </c>
      <c r="H13" s="22">
        <f>B13*514/100*3</f>
        <v>8419.32</v>
      </c>
      <c r="I13" s="22">
        <f>B13*514/100*2.5</f>
        <v>7016.1</v>
      </c>
      <c r="J13" s="22">
        <f>B13*514/100*2.5</f>
        <v>7016.1</v>
      </c>
      <c r="K13" s="22">
        <f>B13*514/100*4</f>
        <v>11225.76</v>
      </c>
      <c r="L13" s="22">
        <f>B13*514/100*9</f>
        <v>25257.96</v>
      </c>
      <c r="M13" s="22">
        <f>B13*514/100*11</f>
        <v>30870.84</v>
      </c>
      <c r="N13" s="22">
        <f>B13*514/100*13</f>
        <v>36483.72</v>
      </c>
      <c r="O13" s="22">
        <f t="shared" si="0"/>
        <v>280644</v>
      </c>
      <c r="P13" s="20"/>
    </row>
    <row r="14" spans="1:19" x14ac:dyDescent="0.35">
      <c r="A14" s="8" t="s">
        <v>20</v>
      </c>
      <c r="B14" s="8">
        <v>99</v>
      </c>
      <c r="C14" s="22">
        <f>B14*514/100*15</f>
        <v>7632.9000000000005</v>
      </c>
      <c r="D14" s="22">
        <f>B14*514/100*13</f>
        <v>6615.18</v>
      </c>
      <c r="E14" s="22">
        <f>B14*514/100*13</f>
        <v>6615.18</v>
      </c>
      <c r="F14" s="22">
        <f>B14*514/100*10</f>
        <v>5088.6000000000004</v>
      </c>
      <c r="G14" s="22">
        <f>B14*514/100*4</f>
        <v>2035.44</v>
      </c>
      <c r="H14" s="22">
        <f>B14*514/100*3</f>
        <v>1526.58</v>
      </c>
      <c r="I14" s="22">
        <f>B14*514/100*2.5</f>
        <v>1272.1500000000001</v>
      </c>
      <c r="J14" s="22">
        <f>B14*514/100*2.5</f>
        <v>1272.1500000000001</v>
      </c>
      <c r="K14" s="22">
        <f>B14*514/100*4</f>
        <v>2035.44</v>
      </c>
      <c r="L14" s="22">
        <f>B14*514/100*9</f>
        <v>4579.74</v>
      </c>
      <c r="M14" s="22">
        <f>B14*514/100*11</f>
        <v>5597.46</v>
      </c>
      <c r="N14" s="22">
        <f>B14*514/100*13</f>
        <v>6615.18</v>
      </c>
      <c r="O14" s="22">
        <f t="shared" si="0"/>
        <v>50886</v>
      </c>
      <c r="P14" s="20"/>
    </row>
    <row r="15" spans="1:19" x14ac:dyDescent="0.35">
      <c r="A15" s="8" t="s">
        <v>21</v>
      </c>
      <c r="B15" s="8">
        <v>135</v>
      </c>
      <c r="C15" s="22">
        <f>B15*514/100*15</f>
        <v>10408.5</v>
      </c>
      <c r="D15" s="22">
        <f>B15*514/100*13</f>
        <v>9020.6999999999989</v>
      </c>
      <c r="E15" s="22">
        <f>B15*514/100*13</f>
        <v>9020.6999999999989</v>
      </c>
      <c r="F15" s="22">
        <f>B15*514/100*10</f>
        <v>6939</v>
      </c>
      <c r="G15" s="22">
        <f>B15*514/100*4</f>
        <v>2775.6</v>
      </c>
      <c r="H15" s="22">
        <f>B15*514/100*3</f>
        <v>2081.6999999999998</v>
      </c>
      <c r="I15" s="22">
        <f>B15*514/100*2.5</f>
        <v>1734.75</v>
      </c>
      <c r="J15" s="22">
        <f>B15*514/100*2.5</f>
        <v>1734.75</v>
      </c>
      <c r="K15" s="22">
        <f>B15*514/100*4</f>
        <v>2775.6</v>
      </c>
      <c r="L15" s="22">
        <f>B15*514/100*9</f>
        <v>6245.0999999999995</v>
      </c>
      <c r="M15" s="22">
        <f>B15*514/100*11</f>
        <v>7632.9</v>
      </c>
      <c r="N15" s="22">
        <f>B15*514/100*13</f>
        <v>9020.6999999999989</v>
      </c>
      <c r="O15" s="22">
        <f t="shared" si="0"/>
        <v>69389.999999999985</v>
      </c>
      <c r="P15" s="20"/>
    </row>
    <row r="16" spans="1:19" x14ac:dyDescent="0.35">
      <c r="A16" s="8" t="s">
        <v>22</v>
      </c>
      <c r="B16" s="8">
        <v>180</v>
      </c>
      <c r="C16" s="22">
        <f>B16*514/100*15</f>
        <v>13878</v>
      </c>
      <c r="D16" s="22">
        <f>B16*514/100*13</f>
        <v>12027.6</v>
      </c>
      <c r="E16" s="22">
        <f>B16*514/100*13</f>
        <v>12027.6</v>
      </c>
      <c r="F16" s="22">
        <f>B16*514/100*10</f>
        <v>9252</v>
      </c>
      <c r="G16" s="22">
        <f>B16*514/100*4</f>
        <v>3700.8</v>
      </c>
      <c r="H16" s="22">
        <f>B16*514/100*3</f>
        <v>2775.6000000000004</v>
      </c>
      <c r="I16" s="22">
        <f>B16*514/100*2.5</f>
        <v>2313</v>
      </c>
      <c r="J16" s="22">
        <f>B16*514/100*2.5</f>
        <v>2313</v>
      </c>
      <c r="K16" s="22">
        <f>B16*514/100*4</f>
        <v>3700.8</v>
      </c>
      <c r="L16" s="22">
        <f>B16*514/100*9</f>
        <v>8326.8000000000011</v>
      </c>
      <c r="M16" s="22">
        <f>B16*514/100*11</f>
        <v>10177.200000000001</v>
      </c>
      <c r="N16" s="22">
        <f>B16*514/100*13</f>
        <v>12027.6</v>
      </c>
      <c r="O16" s="22">
        <f t="shared" si="0"/>
        <v>92520</v>
      </c>
      <c r="P16" s="20"/>
    </row>
    <row r="17" spans="1:16" x14ac:dyDescent="0.35">
      <c r="A17" s="8" t="s">
        <v>23</v>
      </c>
      <c r="B17" s="7">
        <v>53</v>
      </c>
      <c r="C17" s="22">
        <f>B17*514/100*15</f>
        <v>4086.3</v>
      </c>
      <c r="D17" s="22">
        <f>B17*514/100*13</f>
        <v>3541.46</v>
      </c>
      <c r="E17" s="22">
        <f>B17*514/100*13</f>
        <v>3541.46</v>
      </c>
      <c r="F17" s="22">
        <f>B17*514/100*10</f>
        <v>2724.2000000000003</v>
      </c>
      <c r="G17" s="22">
        <f>B17*514/100*4</f>
        <v>1089.68</v>
      </c>
      <c r="H17" s="22">
        <f>B17*514/100*3</f>
        <v>817.26</v>
      </c>
      <c r="I17" s="22">
        <f>B17*514/100*2.5</f>
        <v>681.05000000000007</v>
      </c>
      <c r="J17" s="22">
        <f>B17*514/100*2.5</f>
        <v>681.05000000000007</v>
      </c>
      <c r="K17" s="22">
        <f>B17*514/100*4</f>
        <v>1089.68</v>
      </c>
      <c r="L17" s="22">
        <f>B17*514/100*9</f>
        <v>2451.7800000000002</v>
      </c>
      <c r="M17" s="22">
        <f>B17*514/100*11</f>
        <v>2996.6200000000003</v>
      </c>
      <c r="N17" s="22">
        <f>B17*514/100*13</f>
        <v>3541.46</v>
      </c>
      <c r="O17" s="22">
        <f t="shared" si="0"/>
        <v>27242</v>
      </c>
      <c r="P17" s="20"/>
    </row>
    <row r="18" spans="1:16" x14ac:dyDescent="0.35">
      <c r="A18" s="8" t="s">
        <v>39</v>
      </c>
      <c r="B18" s="8">
        <v>10000</v>
      </c>
      <c r="C18" s="22">
        <v>10000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f t="shared" si="0"/>
        <v>10000</v>
      </c>
      <c r="P18" s="20"/>
    </row>
    <row r="19" spans="1:16" x14ac:dyDescent="0.35">
      <c r="A19" s="6" t="s">
        <v>24</v>
      </c>
      <c r="B19" s="6"/>
      <c r="C19" s="23">
        <f t="shared" ref="C19:N19" si="1">SUM(C5:C18)</f>
        <v>142470.46666666665</v>
      </c>
      <c r="D19" s="23">
        <f t="shared" si="1"/>
        <v>118921.42666666667</v>
      </c>
      <c r="E19" s="23">
        <f t="shared" si="1"/>
        <v>118921.42666666667</v>
      </c>
      <c r="F19" s="23">
        <f t="shared" si="1"/>
        <v>98597.866666666683</v>
      </c>
      <c r="G19" s="23">
        <f t="shared" si="1"/>
        <v>57950.746666666673</v>
      </c>
      <c r="H19" s="23">
        <f t="shared" si="1"/>
        <v>51176.226666666662</v>
      </c>
      <c r="I19" s="23">
        <f t="shared" si="1"/>
        <v>47788.966666666674</v>
      </c>
      <c r="J19" s="23">
        <f t="shared" si="1"/>
        <v>47788.966666666674</v>
      </c>
      <c r="K19" s="23">
        <f t="shared" si="1"/>
        <v>57950.746666666673</v>
      </c>
      <c r="L19" s="23">
        <f t="shared" si="1"/>
        <v>91823.346666666679</v>
      </c>
      <c r="M19" s="23">
        <f t="shared" si="1"/>
        <v>105372.38666666666</v>
      </c>
      <c r="N19" s="23">
        <f t="shared" si="1"/>
        <v>118921.42666666667</v>
      </c>
      <c r="O19" s="22">
        <f>SUM(O4:O18)</f>
        <v>1057684</v>
      </c>
      <c r="P19" s="20"/>
    </row>
    <row r="20" spans="1:16" x14ac:dyDescent="0.35">
      <c r="A20" s="6" t="s">
        <v>25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9"/>
    </row>
    <row r="21" spans="1:16" x14ac:dyDescent="0.35">
      <c r="A21" s="8" t="s">
        <v>26</v>
      </c>
      <c r="B21" s="8">
        <v>30000</v>
      </c>
      <c r="C21" s="22">
        <f>B21/12</f>
        <v>2500</v>
      </c>
      <c r="D21" s="22">
        <f>B21/12</f>
        <v>2500</v>
      </c>
      <c r="E21" s="22">
        <f>B21/12</f>
        <v>2500</v>
      </c>
      <c r="F21" s="22">
        <f>B21/12</f>
        <v>2500</v>
      </c>
      <c r="G21" s="22">
        <f>B21/12</f>
        <v>2500</v>
      </c>
      <c r="H21" s="22">
        <f>B21/12</f>
        <v>2500</v>
      </c>
      <c r="I21" s="22">
        <f>B21/12</f>
        <v>2500</v>
      </c>
      <c r="J21" s="22">
        <f>B21/12</f>
        <v>2500</v>
      </c>
      <c r="K21" s="22">
        <f>B21/12</f>
        <v>2500</v>
      </c>
      <c r="L21" s="22">
        <f>B21/12</f>
        <v>2500</v>
      </c>
      <c r="M21" s="22">
        <f>B21/12</f>
        <v>2500</v>
      </c>
      <c r="N21" s="22">
        <f>B21/12</f>
        <v>2500</v>
      </c>
      <c r="O21" s="9">
        <f t="shared" ref="O21:O37" si="2">SUM(C21:N21)</f>
        <v>30000</v>
      </c>
      <c r="P21" s="20"/>
    </row>
    <row r="22" spans="1:16" x14ac:dyDescent="0.35">
      <c r="A22" s="8" t="s">
        <v>27</v>
      </c>
      <c r="B22" s="8">
        <v>10000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>B22</f>
        <v>10000</v>
      </c>
      <c r="O22" s="9">
        <f t="shared" si="2"/>
        <v>10000</v>
      </c>
      <c r="P22" s="20"/>
    </row>
    <row r="23" spans="1:16" x14ac:dyDescent="0.35">
      <c r="A23" s="8" t="s">
        <v>28</v>
      </c>
      <c r="B23" s="21">
        <v>21401</v>
      </c>
      <c r="C23" s="12">
        <f>B23/4</f>
        <v>5350.25</v>
      </c>
      <c r="D23" s="12"/>
      <c r="E23" s="12"/>
      <c r="F23" s="12">
        <f>B23/4</f>
        <v>5350.25</v>
      </c>
      <c r="G23" s="12"/>
      <c r="H23" s="12"/>
      <c r="I23" s="12">
        <f>B23/4</f>
        <v>5350.25</v>
      </c>
      <c r="J23" s="12"/>
      <c r="K23" s="12"/>
      <c r="L23" s="12">
        <f>B23/4</f>
        <v>5350.25</v>
      </c>
      <c r="M23" s="12"/>
      <c r="N23" s="12"/>
      <c r="O23" s="12">
        <f t="shared" si="2"/>
        <v>21401</v>
      </c>
      <c r="P23" s="20"/>
    </row>
    <row r="24" spans="1:16" x14ac:dyDescent="0.35">
      <c r="A24" s="8" t="s">
        <v>49</v>
      </c>
      <c r="B24" s="8">
        <f>SUM(B10:B17)*1.17</f>
        <v>1542.06</v>
      </c>
      <c r="C24" s="22">
        <f>B24*241/100*18/170*130</f>
        <v>51154.66567058822</v>
      </c>
      <c r="D24" s="22">
        <f>B24*241/100*17/170*130</f>
        <v>48312.739799999996</v>
      </c>
      <c r="E24" s="22">
        <f>B24*241/100*14.8/170*130</f>
        <v>42060.502884705878</v>
      </c>
      <c r="F24" s="22">
        <f>B24*241/100*9.3/170*130</f>
        <v>26429.910596470589</v>
      </c>
      <c r="G24" s="22">
        <f>B24*241/100*3.2/170*130</f>
        <v>9094.1627858823522</v>
      </c>
      <c r="H24" s="22">
        <f>B24*241/100*1.7/170*130</f>
        <v>4831.273979999999</v>
      </c>
      <c r="I24" s="22">
        <f>B24*241/100*1.3/170*130</f>
        <v>3694.503631764705</v>
      </c>
      <c r="J24" s="22">
        <f>B24*241/100*1.9/170*130</f>
        <v>5399.6591541176458</v>
      </c>
      <c r="K24" s="22">
        <f>B24*241/100*2.5/170*130</f>
        <v>7104.8146764705871</v>
      </c>
      <c r="L24" s="22">
        <f>B24*241/100*5.3/170*130</f>
        <v>15062.207114117646</v>
      </c>
      <c r="M24" s="22">
        <f>B24*241/100*8.6/170*130</f>
        <v>24440.562487058818</v>
      </c>
      <c r="N24" s="22">
        <f>B24*241/100*16.4/170*130</f>
        <v>46607.584277647045</v>
      </c>
      <c r="O24" s="9">
        <f t="shared" si="2"/>
        <v>284192.5870588235</v>
      </c>
      <c r="P24" s="20"/>
    </row>
    <row r="25" spans="1:16" x14ac:dyDescent="0.35">
      <c r="A25" s="8" t="s">
        <v>46</v>
      </c>
      <c r="B25" s="8">
        <v>68588</v>
      </c>
      <c r="C25" s="9">
        <f>B25</f>
        <v>68588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2"/>
        <v>68588</v>
      </c>
      <c r="P25" s="20"/>
    </row>
    <row r="26" spans="1:16" x14ac:dyDescent="0.35">
      <c r="A26" s="8" t="s">
        <v>42</v>
      </c>
      <c r="B26" s="21">
        <v>250000</v>
      </c>
      <c r="C26" s="12"/>
      <c r="D26" s="12"/>
      <c r="E26" s="12">
        <f t="shared" ref="E26:E31" si="3">B26/4</f>
        <v>62500</v>
      </c>
      <c r="F26" s="12"/>
      <c r="G26" s="12"/>
      <c r="H26" s="12">
        <f t="shared" ref="H26:H31" si="4">B26/4</f>
        <v>62500</v>
      </c>
      <c r="I26" s="12"/>
      <c r="J26" s="12"/>
      <c r="K26" s="12">
        <f t="shared" ref="K26:K31" si="5">B26/4</f>
        <v>62500</v>
      </c>
      <c r="L26" s="12"/>
      <c r="M26" s="12"/>
      <c r="N26" s="12">
        <f t="shared" ref="N26:N31" si="6">B26/4</f>
        <v>62500</v>
      </c>
      <c r="O26" s="12">
        <f t="shared" si="2"/>
        <v>250000</v>
      </c>
      <c r="P26" s="20"/>
    </row>
    <row r="27" spans="1:16" x14ac:dyDescent="0.35">
      <c r="A27" s="8" t="s">
        <v>41</v>
      </c>
      <c r="B27" s="21">
        <v>108500</v>
      </c>
      <c r="C27" s="12"/>
      <c r="D27" s="12"/>
      <c r="E27" s="12">
        <f t="shared" si="3"/>
        <v>27125</v>
      </c>
      <c r="F27" s="12"/>
      <c r="G27" s="12"/>
      <c r="H27" s="12">
        <f t="shared" si="4"/>
        <v>27125</v>
      </c>
      <c r="I27" s="12"/>
      <c r="J27" s="12"/>
      <c r="K27" s="12">
        <f t="shared" si="5"/>
        <v>27125</v>
      </c>
      <c r="L27" s="12"/>
      <c r="M27" s="12"/>
      <c r="N27" s="12">
        <f t="shared" si="6"/>
        <v>27125</v>
      </c>
      <c r="O27" s="12">
        <f t="shared" si="2"/>
        <v>108500</v>
      </c>
      <c r="P27" s="20"/>
    </row>
    <row r="28" spans="1:16" x14ac:dyDescent="0.35">
      <c r="A28" s="8" t="s">
        <v>37</v>
      </c>
      <c r="B28" s="21">
        <v>101667</v>
      </c>
      <c r="C28" s="12"/>
      <c r="D28" s="12"/>
      <c r="E28" s="12">
        <f t="shared" si="3"/>
        <v>25416.75</v>
      </c>
      <c r="F28" s="12"/>
      <c r="G28" s="12"/>
      <c r="H28" s="12">
        <f t="shared" si="4"/>
        <v>25416.75</v>
      </c>
      <c r="I28" s="12"/>
      <c r="J28" s="12"/>
      <c r="K28" s="12">
        <f t="shared" si="5"/>
        <v>25416.75</v>
      </c>
      <c r="L28" s="12"/>
      <c r="M28" s="12"/>
      <c r="N28" s="12">
        <f t="shared" si="6"/>
        <v>25416.75</v>
      </c>
      <c r="O28" s="12">
        <f t="shared" si="2"/>
        <v>101667</v>
      </c>
      <c r="P28" s="20"/>
    </row>
    <row r="29" spans="1:16" x14ac:dyDescent="0.35">
      <c r="A29" s="8" t="s">
        <v>43</v>
      </c>
      <c r="B29" s="21">
        <v>44094</v>
      </c>
      <c r="C29" s="12"/>
      <c r="D29" s="12"/>
      <c r="E29" s="12">
        <f t="shared" si="3"/>
        <v>11023.5</v>
      </c>
      <c r="F29" s="12"/>
      <c r="G29" s="12"/>
      <c r="H29" s="12">
        <f t="shared" si="4"/>
        <v>11023.5</v>
      </c>
      <c r="I29" s="12"/>
      <c r="J29" s="12"/>
      <c r="K29" s="12">
        <f t="shared" si="5"/>
        <v>11023.5</v>
      </c>
      <c r="L29" s="12"/>
      <c r="M29" s="12"/>
      <c r="N29" s="12">
        <f t="shared" si="6"/>
        <v>11023.5</v>
      </c>
      <c r="O29" s="12">
        <f t="shared" si="2"/>
        <v>44094</v>
      </c>
      <c r="P29" s="20"/>
    </row>
    <row r="30" spans="1:16" x14ac:dyDescent="0.35">
      <c r="A30" s="8" t="s">
        <v>45</v>
      </c>
      <c r="B30" s="21">
        <v>31667</v>
      </c>
      <c r="C30" s="12"/>
      <c r="D30" s="12"/>
      <c r="E30" s="12">
        <f t="shared" si="3"/>
        <v>7916.75</v>
      </c>
      <c r="F30" s="12"/>
      <c r="G30" s="12"/>
      <c r="H30" s="12">
        <f t="shared" si="4"/>
        <v>7916.75</v>
      </c>
      <c r="I30" s="12"/>
      <c r="J30" s="12"/>
      <c r="K30" s="12">
        <f t="shared" si="5"/>
        <v>7916.75</v>
      </c>
      <c r="L30" s="12"/>
      <c r="M30" s="12"/>
      <c r="N30" s="12">
        <f t="shared" si="6"/>
        <v>7916.75</v>
      </c>
      <c r="O30" s="12">
        <f t="shared" si="2"/>
        <v>31667</v>
      </c>
      <c r="P30" s="20"/>
    </row>
    <row r="31" spans="1:16" x14ac:dyDescent="0.35">
      <c r="A31" s="8" t="s">
        <v>44</v>
      </c>
      <c r="B31" s="21">
        <v>4481</v>
      </c>
      <c r="C31" s="12"/>
      <c r="D31" s="12"/>
      <c r="E31" s="12">
        <f t="shared" si="3"/>
        <v>1120.25</v>
      </c>
      <c r="F31" s="12"/>
      <c r="G31" s="12"/>
      <c r="H31" s="12">
        <f t="shared" si="4"/>
        <v>1120.25</v>
      </c>
      <c r="I31" s="12"/>
      <c r="J31" s="12"/>
      <c r="K31" s="12">
        <f t="shared" si="5"/>
        <v>1120.25</v>
      </c>
      <c r="L31" s="12"/>
      <c r="M31" s="12"/>
      <c r="N31" s="12">
        <f t="shared" si="6"/>
        <v>1120.25</v>
      </c>
      <c r="O31" s="12">
        <f t="shared" si="2"/>
        <v>4481</v>
      </c>
      <c r="P31" s="20"/>
    </row>
    <row r="32" spans="1:16" x14ac:dyDescent="0.35">
      <c r="A32" s="8" t="s">
        <v>29</v>
      </c>
      <c r="B32" s="8">
        <v>32600</v>
      </c>
      <c r="C32" s="22">
        <f>B32/12</f>
        <v>2716.6666666666665</v>
      </c>
      <c r="D32" s="22">
        <f>B32/12</f>
        <v>2716.6666666666665</v>
      </c>
      <c r="E32" s="22">
        <f>B32/12</f>
        <v>2716.6666666666665</v>
      </c>
      <c r="F32" s="22">
        <f>B32/12</f>
        <v>2716.6666666666665</v>
      </c>
      <c r="G32" s="22">
        <f>B32/12</f>
        <v>2716.6666666666665</v>
      </c>
      <c r="H32" s="22">
        <f>B32/12</f>
        <v>2716.6666666666665</v>
      </c>
      <c r="I32" s="22">
        <f>B32/12</f>
        <v>2716.6666666666665</v>
      </c>
      <c r="J32" s="22">
        <f>B32/12</f>
        <v>2716.6666666666665</v>
      </c>
      <c r="K32" s="22">
        <f>B32/12</f>
        <v>2716.6666666666665</v>
      </c>
      <c r="L32" s="22">
        <f>B32/12</f>
        <v>2716.6666666666665</v>
      </c>
      <c r="M32" s="22">
        <f>B32/12</f>
        <v>2716.6666666666665</v>
      </c>
      <c r="N32" s="22">
        <f>B32/12</f>
        <v>2716.6666666666665</v>
      </c>
      <c r="O32" s="9">
        <f t="shared" si="2"/>
        <v>32600.000000000004</v>
      </c>
      <c r="P32" s="20"/>
    </row>
    <row r="33" spans="1:16" x14ac:dyDescent="0.35">
      <c r="A33" s="8" t="s">
        <v>30</v>
      </c>
      <c r="B33" s="8">
        <v>25500</v>
      </c>
      <c r="C33" s="9">
        <f>B33/2</f>
        <v>12750</v>
      </c>
      <c r="D33" s="9"/>
      <c r="E33" s="9"/>
      <c r="F33" s="9"/>
      <c r="G33" s="9"/>
      <c r="H33" s="9">
        <f>B33/2</f>
        <v>12750</v>
      </c>
      <c r="I33" s="9"/>
      <c r="J33" s="9"/>
      <c r="K33" s="9"/>
      <c r="L33" s="9"/>
      <c r="M33" s="9"/>
      <c r="N33" s="9"/>
      <c r="O33" s="9">
        <f t="shared" si="2"/>
        <v>25500</v>
      </c>
      <c r="P33" s="20"/>
    </row>
    <row r="34" spans="1:16" x14ac:dyDescent="0.35">
      <c r="A34" s="8" t="s">
        <v>31</v>
      </c>
      <c r="B34" s="8">
        <v>4993</v>
      </c>
      <c r="C34" s="9">
        <f>B34/4</f>
        <v>1248.25</v>
      </c>
      <c r="D34" s="9"/>
      <c r="E34" s="9"/>
      <c r="F34" s="9">
        <f>B34/4</f>
        <v>1248.25</v>
      </c>
      <c r="G34" s="9"/>
      <c r="H34" s="9"/>
      <c r="I34" s="9">
        <f>B34/4</f>
        <v>1248.25</v>
      </c>
      <c r="J34" s="9"/>
      <c r="K34" s="9"/>
      <c r="L34" s="9">
        <f>B34/4</f>
        <v>1248.25</v>
      </c>
      <c r="M34" s="9"/>
      <c r="N34" s="9"/>
      <c r="O34" s="9">
        <f t="shared" si="2"/>
        <v>4993</v>
      </c>
      <c r="P34" s="20"/>
    </row>
    <row r="35" spans="1:16" x14ac:dyDescent="0.35">
      <c r="A35" s="8" t="s">
        <v>32</v>
      </c>
      <c r="B35" s="8">
        <v>4000</v>
      </c>
      <c r="C35" s="9"/>
      <c r="D35" s="9"/>
      <c r="E35" s="9"/>
      <c r="F35" s="9"/>
      <c r="G35" s="9"/>
      <c r="H35" s="9">
        <f>B35/2</f>
        <v>2000</v>
      </c>
      <c r="I35" s="9"/>
      <c r="J35" s="9"/>
      <c r="K35" s="9"/>
      <c r="L35" s="9"/>
      <c r="M35" s="9"/>
      <c r="N35" s="9">
        <f>B35/2</f>
        <v>2000</v>
      </c>
      <c r="O35" s="9">
        <f t="shared" si="2"/>
        <v>4000</v>
      </c>
      <c r="P35" s="20"/>
    </row>
    <row r="36" spans="1:16" x14ac:dyDescent="0.35">
      <c r="A36" s="8" t="s">
        <v>33</v>
      </c>
      <c r="B36" s="8">
        <v>35000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>B36</f>
        <v>35000</v>
      </c>
      <c r="O36" s="9">
        <f t="shared" si="2"/>
        <v>35000</v>
      </c>
      <c r="P36" s="20"/>
    </row>
    <row r="37" spans="1:16" x14ac:dyDescent="0.35">
      <c r="A37" s="8" t="s">
        <v>38</v>
      </c>
      <c r="B37" s="8">
        <v>1000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>B37</f>
        <v>1000</v>
      </c>
      <c r="O37" s="9">
        <f t="shared" si="2"/>
        <v>1000</v>
      </c>
      <c r="P37" s="20"/>
    </row>
    <row r="38" spans="1:16" x14ac:dyDescent="0.35">
      <c r="A38" s="6" t="s">
        <v>34</v>
      </c>
      <c r="B38" s="6"/>
      <c r="C38" s="23">
        <f t="shared" ref="C38:O38" si="7">SUM(C21:C37)</f>
        <v>144307.83233725489</v>
      </c>
      <c r="D38" s="23">
        <f t="shared" si="7"/>
        <v>53529.40646666666</v>
      </c>
      <c r="E38" s="23">
        <f t="shared" si="7"/>
        <v>182379.41955137253</v>
      </c>
      <c r="F38" s="23">
        <f t="shared" si="7"/>
        <v>38245.077263137253</v>
      </c>
      <c r="G38" s="23">
        <f t="shared" si="7"/>
        <v>14310.829452549018</v>
      </c>
      <c r="H38" s="23">
        <f t="shared" si="7"/>
        <v>159900.19064666666</v>
      </c>
      <c r="I38" s="23">
        <f t="shared" si="7"/>
        <v>15509.670298431371</v>
      </c>
      <c r="J38" s="23">
        <f t="shared" si="7"/>
        <v>10616.325820784312</v>
      </c>
      <c r="K38" s="23">
        <f t="shared" si="7"/>
        <v>147423.73134313725</v>
      </c>
      <c r="L38" s="23">
        <f t="shared" si="7"/>
        <v>26877.373780784314</v>
      </c>
      <c r="M38" s="23">
        <f t="shared" si="7"/>
        <v>29657.229153725486</v>
      </c>
      <c r="N38" s="23">
        <f t="shared" si="7"/>
        <v>234926.50094431371</v>
      </c>
      <c r="O38" s="22">
        <f t="shared" si="7"/>
        <v>1057683.5870588236</v>
      </c>
      <c r="P38" s="20"/>
    </row>
    <row r="39" spans="1:16" x14ac:dyDescent="0.35">
      <c r="A39" s="11" t="s">
        <v>35</v>
      </c>
      <c r="B39" s="11"/>
      <c r="C39" s="24">
        <f t="shared" ref="C39:O39" si="8">C19-C38</f>
        <v>-1837.3656705882458</v>
      </c>
      <c r="D39" s="24">
        <f t="shared" si="8"/>
        <v>65392.020200000006</v>
      </c>
      <c r="E39" s="24">
        <f t="shared" si="8"/>
        <v>-63457.992884705862</v>
      </c>
      <c r="F39" s="24">
        <f t="shared" si="8"/>
        <v>60352.78940352943</v>
      </c>
      <c r="G39" s="24">
        <f t="shared" si="8"/>
        <v>43639.917214117653</v>
      </c>
      <c r="H39" s="24">
        <f t="shared" si="8"/>
        <v>-108723.96398</v>
      </c>
      <c r="I39" s="24">
        <f t="shared" si="8"/>
        <v>32279.296368235304</v>
      </c>
      <c r="J39" s="24">
        <f t="shared" si="8"/>
        <v>37172.640845882364</v>
      </c>
      <c r="K39" s="24">
        <f t="shared" si="8"/>
        <v>-89472.984676470573</v>
      </c>
      <c r="L39" s="24">
        <f t="shared" si="8"/>
        <v>64945.972885882366</v>
      </c>
      <c r="M39" s="24">
        <f t="shared" si="8"/>
        <v>75715.157512941165</v>
      </c>
      <c r="N39" s="24">
        <f t="shared" si="8"/>
        <v>-116005.07427764704</v>
      </c>
      <c r="O39" s="25">
        <f t="shared" si="8"/>
        <v>0.41294117644429207</v>
      </c>
      <c r="P39" s="20"/>
    </row>
    <row r="40" spans="1:16" x14ac:dyDescent="0.35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35">
      <c r="A41" s="15" t="s">
        <v>50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35">
      <c r="A43" s="17" t="s">
        <v>48</v>
      </c>
      <c r="B43" s="17" t="s">
        <v>47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35">
      <c r="A44" s="17" t="s">
        <v>51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35">
      <c r="A45" s="15"/>
      <c r="B45" s="1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6" x14ac:dyDescent="0.35">
      <c r="A46" s="15"/>
      <c r="B46" s="15"/>
    </row>
    <row r="48" spans="1:16" x14ac:dyDescent="0.35">
      <c r="A48" s="15"/>
      <c r="B48" s="15"/>
    </row>
    <row r="49" spans="1:2" x14ac:dyDescent="0.35">
      <c r="A49" s="15"/>
      <c r="B49" s="15"/>
    </row>
    <row r="50" spans="1:2" x14ac:dyDescent="0.35">
      <c r="A50" s="15"/>
      <c r="B50" s="15"/>
    </row>
    <row r="51" spans="1:2" x14ac:dyDescent="0.35">
      <c r="A51" s="15"/>
      <c r="B51" s="15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hylleberg</dc:creator>
  <cp:lastModifiedBy>Morten Hylleberg</cp:lastModifiedBy>
  <cp:lastPrinted>2018-04-07T20:48:18Z</cp:lastPrinted>
  <dcterms:created xsi:type="dcterms:W3CDTF">2017-11-06T13:53:32Z</dcterms:created>
  <dcterms:modified xsi:type="dcterms:W3CDTF">2020-12-16T08:13:47Z</dcterms:modified>
</cp:coreProperties>
</file>